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Income Statement" state="visible" r:id="rId5"/>
    <sheet sheetId="3" name="Cash Flow" state="visible" r:id="rId6"/>
    <sheet sheetId="4" name="Balance Sheet" state="visible" r:id="rId7"/>
    <sheet sheetId="5" name="Debt Schedule" state="visible" r:id="rId8"/>
    <sheet sheetId="6" name="DCF" state="visible" r:id="rId9"/>
    <sheet sheetId="7" name="Scenarios" state="visible" r:id="rId10"/>
  </sheets>
  <definedNames>
    <definedName name="WACC">Inputs!$B$10</definedName>
  </definedNames>
  <calcPr calcId="171027"/>
</workbook>
</file>

<file path=xl/sharedStrings.xml><?xml version="1.0" encoding="utf-8"?>
<sst xmlns="http://schemas.openxmlformats.org/spreadsheetml/2006/main" count="185" uniqueCount="84">
  <si>
    <t>ModelGuard Clean Sample</t>
  </si>
  <si>
    <t>Illustrative financial model QA fixture; no market data.</t>
  </si>
  <si>
    <t>Assumption</t>
  </si>
  <si>
    <t>Value</t>
  </si>
  <si>
    <t>Owner</t>
  </si>
  <si>
    <t>Source / Basis</t>
  </si>
  <si>
    <t>Date</t>
  </si>
  <si>
    <t>Rationale</t>
  </si>
  <si>
    <t>ModelGuard status</t>
  </si>
  <si>
    <t>Revenue Growth</t>
  </si>
  <si>
    <t>Analyst</t>
  </si>
  <si>
    <t>Analyst assumption</t>
  </si>
  <si>
    <t>2026-08-10</t>
  </si>
  <si>
    <t>Scenario driver</t>
  </si>
  <si>
    <t/>
  </si>
  <si>
    <t>Operating Margin</t>
  </si>
  <si>
    <t>Operating case</t>
  </si>
  <si>
    <t>Cash Tax Rate</t>
  </si>
  <si>
    <t>Cash tax policy</t>
  </si>
  <si>
    <t>CapEx / Revenue</t>
  </si>
  <si>
    <t>Maintenance investment</t>
  </si>
  <si>
    <t>Change in NWC / Revenue</t>
  </si>
  <si>
    <t>Working capital investment</t>
  </si>
  <si>
    <t>WACC</t>
  </si>
  <si>
    <t>Discount rate</t>
  </si>
  <si>
    <t>Terminal Growth</t>
  </si>
  <si>
    <t>Gordon growth</t>
  </si>
  <si>
    <t>Diluted Shares</t>
  </si>
  <si>
    <t>Finance</t>
  </si>
  <si>
    <t>Capitalization schedule</t>
  </si>
  <si>
    <t>Denominator</t>
  </si>
  <si>
    <t>Net Debt</t>
  </si>
  <si>
    <t>Debt and cash schedule</t>
  </si>
  <si>
    <t>Bridge input</t>
  </si>
  <si>
    <t>Other Equity Adjustments</t>
  </si>
  <si>
    <t>Declared none</t>
  </si>
  <si>
    <t>Explicitly declared zero</t>
  </si>
  <si>
    <t>Income Statement</t>
  </si>
  <si>
    <t>Illustrative USD millions</t>
  </si>
  <si>
    <t>Metric</t>
  </si>
  <si>
    <t>2024A</t>
  </si>
  <si>
    <t>2025E</t>
  </si>
  <si>
    <t>2026E</t>
  </si>
  <si>
    <t>2027E</t>
  </si>
  <si>
    <t>2028E</t>
  </si>
  <si>
    <t>Revenue</t>
  </si>
  <si>
    <t>EBIT</t>
  </si>
  <si>
    <t>Net Income</t>
  </si>
  <si>
    <t>Cash Flow</t>
  </si>
  <si>
    <t>Beginning Cash</t>
  </si>
  <si>
    <t>Net Change in Cash</t>
  </si>
  <si>
    <t>Ending Cash</t>
  </si>
  <si>
    <t>D&amp;A</t>
  </si>
  <si>
    <t>CapEx</t>
  </si>
  <si>
    <t>Change in NWC</t>
  </si>
  <si>
    <t>FCFF</t>
  </si>
  <si>
    <t>Balance Sheet</t>
  </si>
  <si>
    <t>Assets</t>
  </si>
  <si>
    <t>Liabilities</t>
  </si>
  <si>
    <t>Equity</t>
  </si>
  <si>
    <t>Beginning Retained Earnings</t>
  </si>
  <si>
    <t>Dividends</t>
  </si>
  <si>
    <t>Defined Adjustments</t>
  </si>
  <si>
    <t>Ending Retained Earnings</t>
  </si>
  <si>
    <t>Total Debt</t>
  </si>
  <si>
    <t>Debt Schedule</t>
  </si>
  <si>
    <t>Current Debt</t>
  </si>
  <si>
    <t>Long-Term Debt</t>
  </si>
  <si>
    <t>DCF</t>
  </si>
  <si>
    <t>Illustrative output; not an investment recommendation.</t>
  </si>
  <si>
    <t>Discount Factor</t>
  </si>
  <si>
    <t>PV FCFF</t>
  </si>
  <si>
    <t>Terminal Value</t>
  </si>
  <si>
    <t>Terminal Discount Factor</t>
  </si>
  <si>
    <t>PV Terminal Value</t>
  </si>
  <si>
    <t>Enterprise Value</t>
  </si>
  <si>
    <t>Equity Value</t>
  </si>
  <si>
    <t>Implied Share Value</t>
  </si>
  <si>
    <t>Bad External Link</t>
  </si>
  <si>
    <t>Scenarios</t>
  </si>
  <si>
    <t>Policy heuristics are review signals, not universal truths.</t>
  </si>
  <si>
    <t>Bear</t>
  </si>
  <si>
    <t>Base</t>
  </si>
  <si>
    <t>Bull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</si>
</sst>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7324D"/>
      <sz val="14"/>
      <name val="Arial"/>
    </font>
    <font>
      <i/>
      <color rgb="FF58616C"/>
      <sz val="10"/>
      <name val="Arial"/>
    </font>
    <font>
      <b/>
      <color rgb="FFFFFFFF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4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4" customWidth="1"/>
    <col min="3" max="3" width="16" customWidth="1"/>
    <col min="4" max="4" width="25" customWidth="1"/>
    <col min="5" max="5" width="15" customWidth="1"/>
    <col min="6" max="6" width="28" customWidth="1"/>
    <col min="7" max="7" width="18" customWidth="1"/>
  </cols>
  <sheetData>
    <row r="1" ht="26" customHeight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>
        <v>0.08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1:7" x14ac:dyDescent="0.25">
      <c r="A6" s="4" t="s">
        <v>15</v>
      </c>
      <c r="B6" s="4">
        <v>0.22</v>
      </c>
      <c r="C6" s="4" t="s">
        <v>10</v>
      </c>
      <c r="D6" s="4" t="s">
        <v>11</v>
      </c>
      <c r="E6" s="4" t="s">
        <v>12</v>
      </c>
      <c r="F6" s="4" t="s">
        <v>16</v>
      </c>
      <c r="G6" s="4" t="s">
        <v>14</v>
      </c>
    </row>
    <row r="7" spans="1:7" x14ac:dyDescent="0.25">
      <c r="A7" s="4" t="s">
        <v>17</v>
      </c>
      <c r="B7" s="4">
        <v>0.25</v>
      </c>
      <c r="C7" s="4" t="s">
        <v>10</v>
      </c>
      <c r="D7" s="4" t="s">
        <v>11</v>
      </c>
      <c r="E7" s="4" t="s">
        <v>12</v>
      </c>
      <c r="F7" s="4" t="s">
        <v>18</v>
      </c>
      <c r="G7" s="4" t="s">
        <v>14</v>
      </c>
    </row>
    <row r="8" spans="1:7" x14ac:dyDescent="0.25">
      <c r="A8" s="4" t="s">
        <v>19</v>
      </c>
      <c r="B8" s="4">
        <v>0.05</v>
      </c>
      <c r="C8" s="4" t="s">
        <v>10</v>
      </c>
      <c r="D8" s="4" t="s">
        <v>11</v>
      </c>
      <c r="E8" s="4" t="s">
        <v>12</v>
      </c>
      <c r="F8" s="4" t="s">
        <v>20</v>
      </c>
      <c r="G8" s="4" t="s">
        <v>14</v>
      </c>
    </row>
    <row r="9" spans="1:7" x14ac:dyDescent="0.25">
      <c r="A9" s="4" t="s">
        <v>21</v>
      </c>
      <c r="B9" s="4">
        <v>0.02</v>
      </c>
      <c r="C9" s="4" t="s">
        <v>10</v>
      </c>
      <c r="D9" s="4" t="s">
        <v>11</v>
      </c>
      <c r="E9" s="4" t="s">
        <v>12</v>
      </c>
      <c r="F9" s="4" t="s">
        <v>22</v>
      </c>
      <c r="G9" s="4" t="s">
        <v>14</v>
      </c>
    </row>
    <row r="10" spans="1:7" x14ac:dyDescent="0.25">
      <c r="A10" s="4" t="s">
        <v>23</v>
      </c>
      <c r="B10" s="4">
        <v>0.09</v>
      </c>
      <c r="C10" s="4" t="s">
        <v>10</v>
      </c>
      <c r="D10" s="4" t="s">
        <v>11</v>
      </c>
      <c r="E10" s="4" t="s">
        <v>12</v>
      </c>
      <c r="F10" s="4" t="s">
        <v>24</v>
      </c>
      <c r="G10" s="4" t="s">
        <v>14</v>
      </c>
    </row>
    <row r="11" spans="1:7" x14ac:dyDescent="0.25">
      <c r="A11" s="4" t="s">
        <v>25</v>
      </c>
      <c r="B11" s="4">
        <v>0.025</v>
      </c>
      <c r="C11" s="4" t="s">
        <v>10</v>
      </c>
      <c r="D11" s="4" t="s">
        <v>11</v>
      </c>
      <c r="E11" s="4" t="s">
        <v>12</v>
      </c>
      <c r="F11" s="4" t="s">
        <v>26</v>
      </c>
      <c r="G11" s="4" t="s">
        <v>14</v>
      </c>
    </row>
    <row r="12" spans="1:7" x14ac:dyDescent="0.25">
      <c r="A12" s="4" t="s">
        <v>27</v>
      </c>
      <c r="B12" s="4">
        <v>100</v>
      </c>
      <c r="C12" s="4" t="s">
        <v>28</v>
      </c>
      <c r="D12" s="4" t="s">
        <v>29</v>
      </c>
      <c r="E12" s="4" t="s">
        <v>12</v>
      </c>
      <c r="F12" s="4" t="s">
        <v>30</v>
      </c>
      <c r="G12" s="4" t="s">
        <v>14</v>
      </c>
    </row>
    <row r="13" spans="1:7" x14ac:dyDescent="0.25">
      <c r="A13" s="4" t="s">
        <v>31</v>
      </c>
      <c r="B13" s="4">
        <v>500</v>
      </c>
      <c r="C13" s="4" t="s">
        <v>28</v>
      </c>
      <c r="D13" s="4" t="s">
        <v>32</v>
      </c>
      <c r="E13" s="4" t="s">
        <v>12</v>
      </c>
      <c r="F13" s="4" t="s">
        <v>33</v>
      </c>
      <c r="G13" s="4" t="s">
        <v>14</v>
      </c>
    </row>
    <row r="14" spans="1:7" x14ac:dyDescent="0.25">
      <c r="A14" s="4" t="s">
        <v>34</v>
      </c>
      <c r="B14" s="4">
        <v>0</v>
      </c>
      <c r="C14" s="4" t="s">
        <v>28</v>
      </c>
      <c r="D14" s="4" t="s">
        <v>35</v>
      </c>
      <c r="E14" s="4" t="s">
        <v>12</v>
      </c>
      <c r="F14" s="4" t="s">
        <v>36</v>
      </c>
      <c r="G14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37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45</v>
      </c>
      <c r="B5">
        <v>1000</v>
      </c>
      <c r="C5">
        <v>1500</v>
      </c>
      <c r="D5">
        <f>=C5*(1+Inputs!$B$5)</f>
        <v>1166.4</v>
      </c>
      <c r="E5">
        <f>=D5*(1+Inputs!$B$5)</f>
        <v>1259.712</v>
      </c>
      <c r="F5">
        <f>=E5*(1+Inputs!$B$5)</f>
        <v>1360.489</v>
      </c>
    </row>
    <row r="6" spans="1:6" x14ac:dyDescent="0.25">
      <c r="A6" t="s">
        <v>46</v>
      </c>
      <c r="B6">
        <f>=B5*Inputs!$B$6</f>
        <v>220</v>
      </c>
      <c r="C6">
        <f>=C5*Inputs!$B$6</f>
        <v>237.6</v>
      </c>
      <c r="D6">
        <f>=D5*Inputs!$B$6</f>
        <v>256.608</v>
      </c>
      <c r="E6">
        <f>=E5*Inputs!$B$6</f>
        <v>277.137</v>
      </c>
      <c r="F6">
        <f>=F5*Inputs!$B$6</f>
        <v>299.307</v>
      </c>
    </row>
    <row r="7" spans="1:6" x14ac:dyDescent="0.25">
      <c r="A7" t="s">
        <v>47</v>
      </c>
      <c r="B7">
        <f>=B6*(1-Inputs!$B$7)</f>
        <v>165</v>
      </c>
      <c r="C7">
        <f>=C6*(1-Inputs!$B$7)</f>
        <v>178.2</v>
      </c>
      <c r="D7">
        <f>=D6*(1-Inputs!$B$7)</f>
        <v>192.456</v>
      </c>
      <c r="E7">
        <f>=E6*(1-Inputs!$B$7)</f>
        <v>207.852</v>
      </c>
      <c r="F7">
        <f>=F6*(1-Inputs!$B$7)</f>
        <v>224.48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48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49</v>
      </c>
      <c r="B5">
        <v>100</v>
      </c>
      <c r="C5">
        <f>=B7</f>
        <v>150</v>
      </c>
      <c r="D5">
        <f>=C7</f>
        <v>200</v>
      </c>
      <c r="E5">
        <f>=D7</f>
        <v>250</v>
      </c>
      <c r="F5">
        <f>=E7</f>
        <v>300</v>
      </c>
    </row>
    <row r="6" spans="1:6" x14ac:dyDescent="0.25">
      <c r="A6" t="s">
        <v>50</v>
      </c>
      <c r="B6">
        <v>50</v>
      </c>
      <c r="C6">
        <f>=C7-C5</f>
        <v>50</v>
      </c>
      <c r="D6">
        <f>=D7-D5</f>
        <v>50</v>
      </c>
      <c r="E6">
        <f>=E7-E5</f>
        <v>50</v>
      </c>
      <c r="F6">
        <f>=F7-F5</f>
        <v>50</v>
      </c>
    </row>
    <row r="7" spans="1:6" x14ac:dyDescent="0.25">
      <c r="A7" t="s">
        <v>51</v>
      </c>
      <c r="B7">
        <v>150</v>
      </c>
      <c r="C7">
        <f>=C5+C6</f>
        <v>200</v>
      </c>
      <c r="D7">
        <f>=D5+D6</f>
        <v>250</v>
      </c>
      <c r="E7">
        <f>=E5+E6</f>
        <v>300</v>
      </c>
      <c r="F7">
        <f>=F5+F6</f>
        <v>350</v>
      </c>
    </row>
    <row r="8" spans="1:6" x14ac:dyDescent="0.25">
      <c r="A8" t="s">
        <v>52</v>
      </c>
      <c r="B8">
        <v>50</v>
      </c>
      <c r="C8">
        <f>=B5*0.05</f>
        <v>54</v>
      </c>
      <c r="D8">
        <f>=C5*0.05</f>
        <v>58.32</v>
      </c>
      <c r="E8">
        <f>=D5*0.05</f>
        <v>62.986</v>
      </c>
      <c r="F8">
        <f>=E5*0.05</f>
        <v>68.024</v>
      </c>
    </row>
    <row r="9" spans="1:6" x14ac:dyDescent="0.25">
      <c r="A9" t="s">
        <v>53</v>
      </c>
      <c r="B9">
        <v>40</v>
      </c>
      <c r="C9">
        <f>=C5*Inputs!$B$8</f>
        <v>43.2</v>
      </c>
      <c r="D9">
        <f>=D5*Inputs!$B$8</f>
        <v>46.656</v>
      </c>
      <c r="E9">
        <f>=E5*Inputs!$B$8</f>
        <v>50.389</v>
      </c>
      <c r="F9">
        <f>=F5*Inputs!$B$8</f>
        <v>54.42</v>
      </c>
    </row>
    <row r="10" spans="1:6" x14ac:dyDescent="0.25">
      <c r="A10" t="s">
        <v>54</v>
      </c>
      <c r="B10">
        <v>10</v>
      </c>
      <c r="C10">
        <f>=C5*Inputs!$B$9</f>
        <v>21.6</v>
      </c>
      <c r="D10">
        <f>=D5*Inputs!$B$9</f>
        <v>23.328</v>
      </c>
      <c r="E10">
        <f>=E5*Inputs!$B$9</f>
        <v>25.194</v>
      </c>
      <c r="F10">
        <f>=F5*Inputs!$B$9</f>
        <v>27.21</v>
      </c>
    </row>
    <row r="11" spans="1:6" x14ac:dyDescent="0.25">
      <c r="A11" t="s">
        <v>55</v>
      </c>
      <c r="B11">
        <f>'Income Statement'!B6*(1-Inputs!$B$7)+B8-B9-B10</f>
        <v>165</v>
      </c>
      <c r="C11">
        <f>'Income Statement'!C6*(1-Inputs!$B$7)+C8-C9-C10</f>
        <v>167.4</v>
      </c>
      <c r="D11">
        <f>'Income Statement'!D6*(1-Inputs!$B$7)+D8-D9-D10</f>
        <v>180.792</v>
      </c>
      <c r="E11">
        <f>'Income Statement'!E6*(1-Inputs!$B$7)+E8-E9-E10</f>
        <v>195.255</v>
      </c>
      <c r="F11">
        <f>'Income Statement'!F6*(1-Inputs!$B$7)+F8-F9-F10</f>
        <v>210.874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56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57</v>
      </c>
      <c r="B5">
        <v>700</v>
      </c>
      <c r="C5">
        <f>=B6+B7</f>
        <v>710</v>
      </c>
      <c r="D5">
        <f>=C6+C7</f>
        <v>720</v>
      </c>
      <c r="E5">
        <f>=D6+D7</f>
        <v>730</v>
      </c>
      <c r="F5">
        <f>=E6+E7</f>
        <v>742</v>
      </c>
    </row>
    <row r="6" spans="1:6" x14ac:dyDescent="0.25">
      <c r="A6" t="s">
        <v>58</v>
      </c>
      <c r="B6">
        <v>400</v>
      </c>
      <c r="C6">
        <f>=B13</f>
        <v>400</v>
      </c>
      <c r="D6">
        <f>=C13</f>
        <v>405</v>
      </c>
      <c r="E6">
        <f>=D13</f>
        <v>410</v>
      </c>
      <c r="F6">
        <f>=E13</f>
        <v>415</v>
      </c>
    </row>
    <row r="7" spans="1:6" x14ac:dyDescent="0.25">
      <c r="A7" t="s">
        <v>59</v>
      </c>
      <c r="B7">
        <v>300</v>
      </c>
      <c r="C7">
        <f>B5-B6</f>
        <v>310</v>
      </c>
      <c r="D7">
        <f>C5-C6</f>
        <v>315</v>
      </c>
      <c r="E7">
        <f>D5-D6</f>
        <v>320</v>
      </c>
      <c r="F7">
        <f>E5-E6</f>
        <v>327</v>
      </c>
    </row>
    <row r="8" spans="1:6" x14ac:dyDescent="0.25">
      <c r="A8" t="s">
        <v>60</v>
      </c>
      <c r="B8">
        <v>200</v>
      </c>
      <c r="C8">
        <f>B12</f>
        <v>345</v>
      </c>
      <c r="D8">
        <f>C12</f>
        <v>505.38</v>
      </c>
      <c r="E8">
        <f>D12</f>
        <v>678.59</v>
      </c>
      <c r="F8">
        <f>E12</f>
        <v>865.657</v>
      </c>
    </row>
    <row r="9" spans="1:6" x14ac:dyDescent="0.25">
      <c r="A9" t="s">
        <v>47</v>
      </c>
      <c r="B9">
        <v>165</v>
      </c>
      <c r="C9">
        <f>='Income Statement'!C7</f>
        <v>178.2</v>
      </c>
      <c r="D9">
        <f>='Income Statement'!D7</f>
        <v>192.456</v>
      </c>
      <c r="E9">
        <f>='Income Statement'!E7</f>
        <v>207.852</v>
      </c>
      <c r="F9">
        <f>='Income Statement'!F7</f>
        <v>224.48</v>
      </c>
    </row>
    <row r="10" spans="1:6" x14ac:dyDescent="0.25">
      <c r="A10" t="s">
        <v>61</v>
      </c>
      <c r="B10">
        <v>20</v>
      </c>
      <c r="C10">
        <f>=B9*0.1</f>
        <v>17.82</v>
      </c>
      <c r="D10">
        <f>=C9*0.1</f>
        <v>19.246</v>
      </c>
      <c r="E10">
        <f>=D9*0.1</f>
        <v>20.785</v>
      </c>
      <c r="F10">
        <f>=E9*0.1</f>
        <v>22.448</v>
      </c>
    </row>
    <row r="11" spans="1:6" x14ac:dyDescent="0.25">
      <c r="A11" t="s">
        <v>62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63</v>
      </c>
      <c r="B12">
        <v>345</v>
      </c>
      <c r="C12">
        <f>C8+C9-C10+C11</f>
        <v>505.38</v>
      </c>
      <c r="D12">
        <f>D8+D9-D10+D11</f>
        <v>678.59</v>
      </c>
      <c r="E12">
        <f>E8+E9-E10+E11</f>
        <v>865.657</v>
      </c>
      <c r="F12">
        <f>F8+F9-F10+F11</f>
        <v>1067.689</v>
      </c>
    </row>
    <row r="13" spans="1:6" x14ac:dyDescent="0.25">
      <c r="A13" t="s">
        <v>64</v>
      </c>
      <c r="B13">
        <v>400</v>
      </c>
      <c r="C13">
        <f>'Debt Schedule'!C7</f>
        <v>405</v>
      </c>
      <c r="D13">
        <f>'Debt Schedule'!D7</f>
        <v>410</v>
      </c>
      <c r="E13">
        <f>'Debt Schedule'!E7</f>
        <v>415</v>
      </c>
      <c r="F13">
        <f>'Debt Schedule'!F7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65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66</v>
      </c>
      <c r="B5">
        <v>50</v>
      </c>
      <c r="C5">
        <f>=B7*0.12</f>
        <v>48.6</v>
      </c>
      <c r="D5">
        <f>=C7*0.12</f>
        <v>49.2</v>
      </c>
      <c r="E5">
        <f>=D7*0.12</f>
        <v>49.8</v>
      </c>
      <c r="F5">
        <f>=E7*0.12</f>
        <v>50.4</v>
      </c>
    </row>
    <row r="6" spans="1:6" x14ac:dyDescent="0.25">
      <c r="A6" t="s">
        <v>67</v>
      </c>
      <c r="B6">
        <v>350</v>
      </c>
      <c r="C6">
        <f>=B7-B5</f>
        <v>356.4</v>
      </c>
      <c r="D6">
        <f>=C7-C5</f>
        <v>360.8</v>
      </c>
      <c r="E6">
        <f>=D7-D5</f>
        <v>365.2</v>
      </c>
      <c r="F6">
        <f>=E7-E5</f>
        <v>369.6</v>
      </c>
    </row>
    <row r="7" spans="1:6" x14ac:dyDescent="0.25">
      <c r="A7" t="s">
        <v>64</v>
      </c>
      <c r="B7">
        <v>400</v>
      </c>
      <c r="C7">
        <f>=C5+C6</f>
        <v>405</v>
      </c>
      <c r="D7">
        <f>=D5+D6</f>
        <v>410</v>
      </c>
      <c r="E7">
        <f>=E5+E6</f>
        <v>415</v>
      </c>
      <c r="F7">
        <f>=F5+F6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68</v>
      </c>
    </row>
    <row r="2" spans="1:1" s="2" customFormat="1" x14ac:dyDescent="0.25">
      <c r="A2" s="2" t="s">
        <v>69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55</v>
      </c>
      <c r="B5">
        <f>'Cash Flow'!B11</f>
        <v>165</v>
      </c>
      <c r="C5">
        <f>'Cash Flow'!C11</f>
        <v>167.4</v>
      </c>
      <c r="D5">
        <f>'Cash Flow'!D11</f>
        <v>180.792</v>
      </c>
      <c r="E5">
        <f>'Cash Flow'!E11</f>
        <v>195.255</v>
      </c>
      <c r="F5">
        <f>'Cash Flow'!F11</f>
        <v>210.874</v>
      </c>
    </row>
    <row r="6" spans="1:6" x14ac:dyDescent="0.25">
      <c r="A6" t="s">
        <v>70</v>
      </c>
      <c r="B6">
        <f>=1/(1+Inputs!$B$10)^1</f>
        <v>0.917431</v>
      </c>
      <c r="C6">
        <f>=1/(1+Inputs!$B$10)^2</f>
        <v>0.84168</v>
      </c>
      <c r="D6">
        <f>=1/(1+Inputs!$B$10)^3</f>
        <v>0.772183</v>
      </c>
      <c r="E6">
        <f>=1/(1+Inputs!$B$10)^4</f>
        <v>0.708425</v>
      </c>
      <c r="F6">
        <f>=1/(1+Inputs!$B$10)^5</f>
        <v>0.649931</v>
      </c>
    </row>
    <row r="7" spans="1:6" x14ac:dyDescent="0.25">
      <c r="A7" t="s">
        <v>71</v>
      </c>
      <c r="B7">
        <f>B5*B6</f>
        <v>151.376</v>
      </c>
      <c r="C7">
        <f>C5*C6</f>
        <v>140.897</v>
      </c>
      <c r="D7">
        <f>D5*D6</f>
        <v>139.605</v>
      </c>
      <c r="E7">
        <f>E5*E6</f>
        <v>138.324</v>
      </c>
      <c r="F7">
        <f>F5*F6</f>
        <v>137.054</v>
      </c>
    </row>
    <row r="8" spans="1:6" x14ac:dyDescent="0.25">
      <c r="A8" t="s">
        <v>72</v>
      </c>
      <c r="B8">
        <f>F5*(1+Inputs!$B$11)/(Inputs!$B$10-Inputs!$B$11)</f>
        <v>3325.321</v>
      </c>
      <c r="C8" t="s">
        <v>14</v>
      </c>
      <c r="D8" t="s">
        <v>14</v>
      </c>
      <c r="E8" t="s">
        <v>14</v>
      </c>
      <c r="F8" t="s">
        <v>14</v>
      </c>
    </row>
    <row r="9" spans="1:6" x14ac:dyDescent="0.25">
      <c r="A9" t="s">
        <v>73</v>
      </c>
      <c r="B9">
        <f>F6</f>
        <v>0.649931</v>
      </c>
      <c r="C9" t="s">
        <v>14</v>
      </c>
      <c r="D9" t="s">
        <v>14</v>
      </c>
      <c r="E9" t="s">
        <v>14</v>
      </c>
      <c r="F9" t="s">
        <v>14</v>
      </c>
    </row>
    <row r="10" spans="1:6" x14ac:dyDescent="0.25">
      <c r="A10" t="s">
        <v>74</v>
      </c>
      <c r="B10">
        <f>B8*B9</f>
        <v>2161.229</v>
      </c>
      <c r="C10" t="s">
        <v>14</v>
      </c>
      <c r="D10" t="s">
        <v>14</v>
      </c>
      <c r="E10" t="s">
        <v>14</v>
      </c>
      <c r="F10" t="s">
        <v>14</v>
      </c>
    </row>
    <row r="11" spans="1:6" x14ac:dyDescent="0.25">
      <c r="A11" t="s">
        <v>75</v>
      </c>
      <c r="B11">
        <f>SUM(B7:F7)+B10</f>
        <v>2868.484</v>
      </c>
      <c r="C11" t="s">
        <v>14</v>
      </c>
      <c r="D11" t="s">
        <v>14</v>
      </c>
      <c r="E11" t="s">
        <v>14</v>
      </c>
      <c r="F11" t="s">
        <v>14</v>
      </c>
    </row>
    <row r="12" spans="1:6" x14ac:dyDescent="0.25">
      <c r="A12" t="s">
        <v>76</v>
      </c>
      <c r="B12">
        <f>B11-Inputs!B13+Inputs!B14</f>
        <v>2368.484</v>
      </c>
      <c r="C12" t="s">
        <v>14</v>
      </c>
      <c r="D12" t="s">
        <v>14</v>
      </c>
      <c r="E12" t="s">
        <v>14</v>
      </c>
      <c r="F12" t="s">
        <v>14</v>
      </c>
    </row>
    <row r="13" spans="1:6" x14ac:dyDescent="0.25">
      <c r="A13" t="s">
        <v>27</v>
      </c>
      <c r="B13">
        <f>Inputs!B12</f>
        <v>100</v>
      </c>
      <c r="C13" t="s">
        <v>14</v>
      </c>
      <c r="D13" t="s">
        <v>14</v>
      </c>
      <c r="E13" t="s">
        <v>14</v>
      </c>
      <c r="F13" t="s">
        <v>14</v>
      </c>
    </row>
    <row r="14" spans="1:6" x14ac:dyDescent="0.25">
      <c r="A14" t="s">
        <v>77</v>
      </c>
      <c r="B14">
        <f>B12/B13</f>
        <v>23.685</v>
      </c>
      <c r="C14" t="s">
        <v>14</v>
      </c>
      <c r="D14" t="s">
        <v>14</v>
      </c>
      <c r="E14" t="s">
        <v>14</v>
      </c>
      <c r="F14" t="s">
        <v>14</v>
      </c>
    </row>
    <row r="15" spans="1:6" x14ac:dyDescent="0.25">
      <c r="A15" t="s">
        <v>78</v>
      </c>
      <c r="C15" t="s">
        <v>14</v>
      </c>
      <c r="D15" t="s">
        <v>14</v>
      </c>
      <c r="E15" t="s">
        <v>14</v>
      </c>
      <c r="F1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4" width="15" customWidth="1"/>
  </cols>
  <sheetData>
    <row r="1" ht="26" customHeight="1" spans="1:1" s="1" customFormat="1" x14ac:dyDescent="0.25">
      <c r="A1" s="1" t="s">
        <v>79</v>
      </c>
    </row>
    <row r="2" spans="1:1" s="2" customFormat="1" x14ac:dyDescent="0.25">
      <c r="A2" s="2" t="s">
        <v>80</v>
      </c>
    </row>
    <row r="4" spans="1:4" s="3" customFormat="1" x14ac:dyDescent="0.25">
      <c r="A4" s="3" t="s">
        <v>2</v>
      </c>
      <c r="B4" s="3" t="s">
        <v>81</v>
      </c>
      <c r="C4" s="3" t="s">
        <v>82</v>
      </c>
      <c r="D4" s="3" t="s">
        <v>83</v>
      </c>
    </row>
    <row r="5" spans="1:4" x14ac:dyDescent="0.25">
      <c r="A5" s="4" t="s">
        <v>9</v>
      </c>
      <c r="B5" s="4">
        <v>0.03</v>
      </c>
      <c r="C5" s="4">
        <v>0.08</v>
      </c>
      <c r="D5" s="4">
        <v>0.12</v>
      </c>
    </row>
    <row r="6" spans="1:4" x14ac:dyDescent="0.25">
      <c r="A6" s="4" t="s">
        <v>15</v>
      </c>
      <c r="B6" s="4">
        <v>0.15</v>
      </c>
      <c r="C6" s="4">
        <v>0.22</v>
      </c>
      <c r="D6" s="4">
        <v>0.27</v>
      </c>
    </row>
    <row r="7" spans="1:4" x14ac:dyDescent="0.25">
      <c r="A7" s="4" t="s">
        <v>23</v>
      </c>
      <c r="B7" s="4">
        <v>0.11</v>
      </c>
      <c r="C7" s="4">
        <v>0.09</v>
      </c>
      <c r="D7" s="4">
        <v>0.08</v>
      </c>
    </row>
    <row r="8" spans="1:4" x14ac:dyDescent="0.25">
      <c r="A8" s="4" t="s">
        <v>25</v>
      </c>
      <c r="B8" s="4">
        <v>0.015</v>
      </c>
      <c r="C8" s="4">
        <v>0.025</v>
      </c>
      <c r="D8" s="4">
        <v>0.03</v>
      </c>
    </row>
    <row r="9" spans="1:4" x14ac:dyDescent="0.25">
      <c r="A9" s="4" t="s">
        <v>77</v>
      </c>
      <c r="B9" s="4">
        <f>B5*100+B6*20-B7*50+B8*10</f>
        <v>18</v>
      </c>
      <c r="C9" s="4">
        <f>C5*100+C6*20-C7*50+C8*10</f>
        <v>22.87</v>
      </c>
      <c r="D9" s="4">
        <f>D5*100+D6*20-D7*50+D8*10</f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</vt:lpstr>
      <vt:lpstr>Income Statement</vt:lpstr>
      <vt:lpstr>Cash Flow</vt:lpstr>
      <vt:lpstr>Balance Sheet</vt:lpstr>
      <vt:lpstr>Debt Schedule</vt:lpstr>
      <vt:lpstr>DCF</vt:lpstr>
      <vt:lpstr>Scenarios</vt:lpstr>
    </vt:vector>
  </TitlesOfParts>
  <Company>ModelGuard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ModelGuard sample library</dc:creator>
  <dc:title/>
  <dc:subject/>
  <dc:description/>
  <cp:keywords/>
  <cp:category/>
  <cp:lastModifiedBy>Unknown</cp:lastModifiedBy>
  <dcterms:created xsi:type="dcterms:W3CDTF">2026-08-10T22:17:57Z</dcterms:created>
  <dcterms:modified xsi:type="dcterms:W3CDTF">2026-08-10T22:17:57Z</dcterms:modified>
</cp:coreProperties>
</file>